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376" windowHeight="1230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2" i="1" l="1"/>
  <c r="D30" i="1"/>
  <c r="D26" i="1"/>
  <c r="D24" i="1"/>
  <c r="AA11" i="1" l="1"/>
  <c r="V11" i="1"/>
  <c r="U14" i="1"/>
  <c r="B11" i="1"/>
  <c r="B14" i="1" s="1"/>
  <c r="B17" i="1" l="1"/>
  <c r="J28" i="1"/>
  <c r="F17" i="1"/>
  <c r="B18" i="1" l="1"/>
  <c r="U17" i="1"/>
  <c r="Q11" i="1"/>
  <c r="P17" i="1"/>
  <c r="P18" i="1"/>
  <c r="P19" i="1" s="1"/>
  <c r="P20" i="1" s="1"/>
  <c r="P14" i="1"/>
  <c r="P16" i="1"/>
  <c r="J26" i="1"/>
  <c r="J32" i="1"/>
  <c r="J31" i="1"/>
  <c r="J27" i="1"/>
  <c r="B19" i="1" l="1"/>
  <c r="B20" i="1" s="1"/>
  <c r="K17" i="1"/>
  <c r="K18" i="1" s="1"/>
  <c r="F16" i="1"/>
  <c r="G11" i="1"/>
  <c r="F14" i="1" s="1"/>
  <c r="L11" i="1"/>
  <c r="K14" i="1" s="1"/>
  <c r="U18" i="1" l="1"/>
  <c r="F18" i="1"/>
  <c r="K16" i="1"/>
  <c r="K19" i="1" s="1"/>
  <c r="K20" i="1" s="1"/>
  <c r="U16" i="1"/>
  <c r="F19" i="1" l="1"/>
  <c r="F20" i="1" s="1"/>
  <c r="B16" i="1"/>
  <c r="U19" i="1" s="1"/>
  <c r="U20" i="1" s="1"/>
</calcChain>
</file>

<file path=xl/sharedStrings.xml><?xml version="1.0" encoding="utf-8"?>
<sst xmlns="http://schemas.openxmlformats.org/spreadsheetml/2006/main" count="215" uniqueCount="66">
  <si>
    <t>R</t>
  </si>
  <si>
    <t>T</t>
  </si>
  <si>
    <t>KJ/(mol*K)</t>
  </si>
  <si>
    <t>Q</t>
  </si>
  <si>
    <t>lnQ</t>
  </si>
  <si>
    <t>RTlnQ</t>
  </si>
  <si>
    <t>G0</t>
  </si>
  <si>
    <t>DG</t>
  </si>
  <si>
    <t>Fe-AOM</t>
  </si>
  <si>
    <t>mM</t>
  </si>
  <si>
    <t>Fe2+</t>
  </si>
  <si>
    <t>CH4</t>
  </si>
  <si>
    <t>reac Fe(III)</t>
  </si>
  <si>
    <t>H+</t>
  </si>
  <si>
    <t>H2</t>
  </si>
  <si>
    <t>acetate</t>
  </si>
  <si>
    <t>H2 iron reduction</t>
  </si>
  <si>
    <t>M</t>
  </si>
  <si>
    <t>Exponent</t>
  </si>
  <si>
    <t>Species name</t>
  </si>
  <si>
    <t>Chemical</t>
  </si>
  <si>
    <t>state</t>
  </si>
  <si>
    <t>dG0</t>
  </si>
  <si>
    <t>kJ mol-1</t>
  </si>
  <si>
    <t>Ferrous ion</t>
  </si>
  <si>
    <t>aq</t>
  </si>
  <si>
    <t>Proton</t>
  </si>
  <si>
    <t>Carbon dioxide</t>
  </si>
  <si>
    <t>CO2</t>
  </si>
  <si>
    <t>Ferric ion</t>
  </si>
  <si>
    <t>Fe3+</t>
  </si>
  <si>
    <t>Water</t>
  </si>
  <si>
    <t>H2O</t>
  </si>
  <si>
    <t>l</t>
  </si>
  <si>
    <t>Acetic acid</t>
  </si>
  <si>
    <t>CH3COOH</t>
  </si>
  <si>
    <t>Acetate oxidation by ferrous iron reduction</t>
  </si>
  <si>
    <t>Calculation of dG standard state</t>
  </si>
  <si>
    <t>DIC conc. Used for CO2</t>
  </si>
  <si>
    <t>Measured</t>
  </si>
  <si>
    <t>CH4+8Fe(OH)3+15H+ -&gt; HCO3- + 8Fe2+ + 21H2O</t>
  </si>
  <si>
    <t>Methane</t>
  </si>
  <si>
    <t>Ferric-hydroxide prec.</t>
  </si>
  <si>
    <t>Fe(OH)3</t>
  </si>
  <si>
    <t>s</t>
  </si>
  <si>
    <t>Bicarbonate</t>
  </si>
  <si>
    <t>HCO3-</t>
  </si>
  <si>
    <t>Rx:CH3COOH + 8Fe(OH)3 + 14H+ --&gt; 8Fe2+ + 2HCO3 + 20H2O</t>
  </si>
  <si>
    <t>Hydrogen</t>
  </si>
  <si>
    <t xml:space="preserve">8Fe(OH)3 + 4H2 + 16H+ -&gt; 8Fe2+ + 24H2O </t>
  </si>
  <si>
    <t>H2 methanogenesis</t>
  </si>
  <si>
    <t>H2 Iron reduction</t>
  </si>
  <si>
    <t>pH=7</t>
  </si>
  <si>
    <t>water</t>
  </si>
  <si>
    <t>dG standard state</t>
  </si>
  <si>
    <t>CONCENTRATIONS IN THE SEDIMENT (After Sivan et al., 2011; Adler, 2016)</t>
  </si>
  <si>
    <t>Acetoclastic methanogenesis</t>
  </si>
  <si>
    <t>K</t>
  </si>
  <si>
    <t>CH3COOH --&gt; CH4 + CO2</t>
  </si>
  <si>
    <t>HCO3-+ 4H2+ H+ -&gt; CH4+ 3H2O</t>
  </si>
  <si>
    <t>kJ 4mol H2-1</t>
  </si>
  <si>
    <t>CO2-+ 4H2+  -&gt; CH4+ 2H2O</t>
  </si>
  <si>
    <t>H2 meth +Fe-AOM</t>
  </si>
  <si>
    <t>Ac meth+Fe-AOM</t>
  </si>
  <si>
    <t>H2 Fe red</t>
  </si>
  <si>
    <t>Ac Fe 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</si>
</sst>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11"/>
      <color theme="4" tint="-0.249977111117893"/>
      <name val="Arial"/>
      <family val="2"/>
      <charset val="177"/>
      <scheme val="minor"/>
    </font>
    <font>
      <i/>
      <sz val="14"/>
      <color rgb="FF000000"/>
      <name val="Times New Roman"/>
      <family val="1"/>
    </font>
    <font>
      <b/>
      <sz val="11"/>
      <color theme="4" tint="-0.249977111117893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1" fontId="0" fillId="0" borderId="0" xfId="0" applyNumberFormat="1"/>
    <xf numFmtId="0" fontId="0" fillId="0" borderId="0" xfId="0" applyFill="1"/>
    <xf numFmtId="164" fontId="0" fillId="0" borderId="0" xfId="0" applyNumberFormat="1"/>
    <xf numFmtId="0" fontId="2" fillId="0" borderId="0" xfId="0" applyFont="1" applyFill="1" applyBorder="1" applyProtection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Fill="1" applyBorder="1"/>
    <xf numFmtId="0" fontId="0" fillId="0" borderId="5" xfId="0" applyFill="1" applyBorder="1"/>
    <xf numFmtId="0" fontId="2" fillId="0" borderId="5" xfId="0" applyFont="1" applyFill="1" applyBorder="1" applyProtection="1"/>
    <xf numFmtId="0" fontId="0" fillId="0" borderId="6" xfId="0" applyBorder="1"/>
    <xf numFmtId="0" fontId="0" fillId="0" borderId="7" xfId="0" applyFill="1" applyBorder="1"/>
    <xf numFmtId="0" fontId="0" fillId="0" borderId="8" xfId="0" applyFill="1" applyBorder="1"/>
    <xf numFmtId="0" fontId="0" fillId="0" borderId="5" xfId="0" applyBorder="1"/>
    <xf numFmtId="0" fontId="0" fillId="0" borderId="8" xfId="0" applyBorder="1"/>
    <xf numFmtId="0" fontId="1" fillId="0" borderId="0" xfId="0" applyFont="1"/>
    <xf numFmtId="0" fontId="0" fillId="0" borderId="0" xfId="0" applyBorder="1"/>
    <xf numFmtId="0" fontId="2" fillId="0" borderId="7" xfId="0" applyFont="1" applyFill="1" applyBorder="1" applyProtection="1"/>
    <xf numFmtId="0" fontId="0" fillId="0" borderId="7" xfId="0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6" xfId="0" applyFill="1" applyBorder="1"/>
    <xf numFmtId="0" fontId="1" fillId="0" borderId="1" xfId="0" applyFont="1" applyBorder="1"/>
    <xf numFmtId="11" fontId="0" fillId="0" borderId="0" xfId="0" applyNumberFormat="1" applyBorder="1"/>
    <xf numFmtId="0" fontId="3" fillId="0" borderId="1" xfId="0" applyFont="1" applyBorder="1"/>
    <xf numFmtId="0" fontId="3" fillId="0" borderId="1" xfId="0" applyFont="1" applyFill="1" applyBorder="1"/>
    <xf numFmtId="164" fontId="0" fillId="0" borderId="0" xfId="0" applyNumberFormat="1" applyBorder="1"/>
    <xf numFmtId="164" fontId="0" fillId="0" borderId="5" xfId="0" applyNumberFormat="1" applyBorder="1"/>
    <xf numFmtId="11" fontId="0" fillId="0" borderId="5" xfId="0" applyNumberFormat="1" applyBorder="1"/>
    <xf numFmtId="0" fontId="4" fillId="0" borderId="0" xfId="0" applyFont="1"/>
    <xf numFmtId="0" fontId="1" fillId="2" borderId="0" xfId="0" applyFont="1" applyFill="1"/>
    <xf numFmtId="164" fontId="1" fillId="2" borderId="0" xfId="0" applyNumberFormat="1" applyFont="1" applyFill="1"/>
    <xf numFmtId="0" fontId="0" fillId="2" borderId="0" xfId="0" applyFill="1"/>
    <xf numFmtId="0" fontId="1" fillId="3" borderId="0" xfId="0" applyFont="1" applyFill="1"/>
    <xf numFmtId="1" fontId="1" fillId="3" borderId="0" xfId="0" applyNumberFormat="1" applyFont="1" applyFill="1"/>
    <xf numFmtId="0" fontId="0" fillId="3" borderId="0" xfId="0" applyFill="1"/>
    <xf numFmtId="0" fontId="5" fillId="0" borderId="1" xfId="0" applyFont="1" applyBorder="1"/>
    <xf numFmtId="1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"/>
  <sheetViews>
    <sheetView tabSelected="1" zoomScale="58" zoomScaleNormal="58" workbookViewId="0">
      <selection activeCell="V30" sqref="V30"/>
    </sheetView>
  </sheetViews>
  <sheetFormatPr defaultRowHeight="13.8" x14ac:dyDescent="0.25"/>
  <cols>
    <col min="2" max="2" width="11" bestFit="1" customWidth="1"/>
    <col min="3" max="3" width="12" bestFit="1" customWidth="1"/>
    <col min="4" max="4" width="10.69921875" customWidth="1"/>
    <col min="7" max="9" width="12" bestFit="1" customWidth="1"/>
    <col min="10" max="10" width="11" bestFit="1" customWidth="1"/>
    <col min="11" max="11" width="9.59765625" bestFit="1" customWidth="1"/>
    <col min="14" max="14" width="12" bestFit="1" customWidth="1"/>
    <col min="16" max="16" width="9.59765625" bestFit="1" customWidth="1"/>
    <col min="22" max="22" width="9.59765625" bestFit="1" customWidth="1"/>
  </cols>
  <sheetData>
    <row r="1" spans="1:30" x14ac:dyDescent="0.25">
      <c r="A1" s="17" t="s">
        <v>8</v>
      </c>
      <c r="F1" s="17" t="s">
        <v>36</v>
      </c>
      <c r="K1" s="17" t="s">
        <v>51</v>
      </c>
      <c r="P1" s="17" t="s">
        <v>56</v>
      </c>
      <c r="U1" s="17" t="s">
        <v>50</v>
      </c>
      <c r="Z1" s="17" t="s">
        <v>50</v>
      </c>
    </row>
    <row r="2" spans="1:30" x14ac:dyDescent="0.25">
      <c r="A2" s="17" t="s">
        <v>37</v>
      </c>
      <c r="F2" s="17" t="s">
        <v>37</v>
      </c>
      <c r="K2" s="17" t="s">
        <v>37</v>
      </c>
      <c r="P2" s="17" t="s">
        <v>37</v>
      </c>
      <c r="U2" s="17" t="s">
        <v>37</v>
      </c>
      <c r="Z2" s="17" t="s">
        <v>37</v>
      </c>
    </row>
    <row r="3" spans="1:30" x14ac:dyDescent="0.25">
      <c r="A3" s="27" t="s">
        <v>40</v>
      </c>
      <c r="B3" s="6"/>
      <c r="C3" s="6"/>
      <c r="D3" s="6"/>
      <c r="E3" s="7"/>
      <c r="F3" s="27" t="s">
        <v>47</v>
      </c>
      <c r="G3" s="6"/>
      <c r="H3" s="6"/>
      <c r="I3" s="6"/>
      <c r="J3" s="7"/>
      <c r="K3" s="28" t="s">
        <v>49</v>
      </c>
      <c r="L3" s="21"/>
      <c r="M3" s="21"/>
      <c r="N3" s="21"/>
      <c r="O3" s="22"/>
      <c r="P3" s="28" t="s">
        <v>58</v>
      </c>
      <c r="Q3" s="21"/>
      <c r="R3" s="21"/>
      <c r="S3" s="21"/>
      <c r="T3" s="22"/>
      <c r="U3" s="27" t="s">
        <v>59</v>
      </c>
      <c r="V3" s="6"/>
      <c r="W3" s="6"/>
      <c r="X3" s="6"/>
      <c r="Y3" s="7"/>
      <c r="Z3" s="39" t="s">
        <v>61</v>
      </c>
      <c r="AA3" s="6"/>
      <c r="AB3" s="6"/>
      <c r="AC3" s="6"/>
      <c r="AD3" s="7"/>
    </row>
    <row r="4" spans="1:30" x14ac:dyDescent="0.25">
      <c r="A4" s="8" t="s">
        <v>18</v>
      </c>
      <c r="B4" s="9" t="s">
        <v>19</v>
      </c>
      <c r="C4" s="9" t="s">
        <v>20</v>
      </c>
      <c r="D4" s="9" t="s">
        <v>21</v>
      </c>
      <c r="E4" s="10" t="s">
        <v>22</v>
      </c>
      <c r="F4" s="8" t="s">
        <v>18</v>
      </c>
      <c r="G4" s="9" t="s">
        <v>19</v>
      </c>
      <c r="H4" s="9" t="s">
        <v>20</v>
      </c>
      <c r="I4" s="9" t="s">
        <v>21</v>
      </c>
      <c r="J4" s="10" t="s">
        <v>22</v>
      </c>
      <c r="K4" s="23" t="s">
        <v>18</v>
      </c>
      <c r="L4" s="9" t="s">
        <v>19</v>
      </c>
      <c r="M4" s="9" t="s">
        <v>20</v>
      </c>
      <c r="N4" s="9" t="s">
        <v>21</v>
      </c>
      <c r="O4" s="10" t="s">
        <v>22</v>
      </c>
      <c r="P4" s="23" t="s">
        <v>18</v>
      </c>
      <c r="Q4" s="9" t="s">
        <v>19</v>
      </c>
      <c r="R4" s="9" t="s">
        <v>20</v>
      </c>
      <c r="S4" s="9" t="s">
        <v>21</v>
      </c>
      <c r="T4" s="10" t="s">
        <v>22</v>
      </c>
      <c r="U4" s="8" t="s">
        <v>18</v>
      </c>
      <c r="V4" s="9" t="s">
        <v>19</v>
      </c>
      <c r="W4" s="9" t="s">
        <v>20</v>
      </c>
      <c r="X4" s="9" t="s">
        <v>21</v>
      </c>
      <c r="Y4" s="10" t="s">
        <v>22</v>
      </c>
      <c r="Z4" s="8" t="s">
        <v>18</v>
      </c>
      <c r="AA4" s="9" t="s">
        <v>19</v>
      </c>
      <c r="AB4" s="9" t="s">
        <v>20</v>
      </c>
      <c r="AC4" s="9" t="s">
        <v>21</v>
      </c>
      <c r="AD4" s="10" t="s">
        <v>22</v>
      </c>
    </row>
    <row r="5" spans="1:30" x14ac:dyDescent="0.25">
      <c r="A5" s="8">
        <v>8</v>
      </c>
      <c r="B5" s="4" t="s">
        <v>24</v>
      </c>
      <c r="C5" s="4" t="s">
        <v>10</v>
      </c>
      <c r="D5" s="4" t="s">
        <v>25</v>
      </c>
      <c r="E5" s="11">
        <v>-78.900000000000006</v>
      </c>
      <c r="F5" s="8">
        <v>8</v>
      </c>
      <c r="G5" s="4" t="s">
        <v>24</v>
      </c>
      <c r="H5" s="4" t="s">
        <v>10</v>
      </c>
      <c r="I5" s="4" t="s">
        <v>25</v>
      </c>
      <c r="J5" s="11">
        <v>-78.900000000000006</v>
      </c>
      <c r="K5" s="23"/>
      <c r="L5" s="9"/>
      <c r="M5" s="9"/>
      <c r="N5" s="9"/>
      <c r="O5" s="10"/>
      <c r="P5" s="23">
        <v>1</v>
      </c>
      <c r="Q5" s="18" t="s">
        <v>41</v>
      </c>
      <c r="R5" s="18" t="s">
        <v>11</v>
      </c>
      <c r="S5" s="18" t="s">
        <v>25</v>
      </c>
      <c r="T5" s="15">
        <v>-34.4</v>
      </c>
      <c r="U5" s="8">
        <v>1</v>
      </c>
      <c r="V5" s="18" t="s">
        <v>41</v>
      </c>
      <c r="W5" s="18" t="s">
        <v>11</v>
      </c>
      <c r="X5" s="18" t="s">
        <v>25</v>
      </c>
      <c r="Y5" s="15">
        <v>-34.4</v>
      </c>
      <c r="Z5" s="8">
        <v>1</v>
      </c>
      <c r="AA5" s="18" t="s">
        <v>41</v>
      </c>
      <c r="AB5" s="18" t="s">
        <v>11</v>
      </c>
      <c r="AC5" s="18" t="s">
        <v>25</v>
      </c>
      <c r="AD5" s="15">
        <v>-34.4</v>
      </c>
    </row>
    <row r="6" spans="1:30" x14ac:dyDescent="0.25">
      <c r="A6" s="8">
        <v>21</v>
      </c>
      <c r="B6" s="4" t="s">
        <v>31</v>
      </c>
      <c r="C6" s="4" t="s">
        <v>32</v>
      </c>
      <c r="D6" s="4" t="s">
        <v>33</v>
      </c>
      <c r="E6" s="11">
        <v>-237.2</v>
      </c>
      <c r="F6" s="8">
        <v>20</v>
      </c>
      <c r="G6" s="4" t="s">
        <v>31</v>
      </c>
      <c r="H6" s="4" t="s">
        <v>32</v>
      </c>
      <c r="I6" s="4" t="s">
        <v>33</v>
      </c>
      <c r="J6" s="11">
        <v>-237.2</v>
      </c>
      <c r="K6" s="23">
        <v>24</v>
      </c>
      <c r="L6" s="4" t="s">
        <v>31</v>
      </c>
      <c r="M6" s="4" t="s">
        <v>32</v>
      </c>
      <c r="N6" s="4" t="s">
        <v>33</v>
      </c>
      <c r="O6" s="11">
        <v>-237.2</v>
      </c>
      <c r="P6" s="23">
        <v>1</v>
      </c>
      <c r="Q6" t="s">
        <v>27</v>
      </c>
      <c r="R6" t="s">
        <v>28</v>
      </c>
      <c r="S6" t="s">
        <v>25</v>
      </c>
      <c r="T6">
        <v>-386</v>
      </c>
      <c r="U6" s="8">
        <v>3</v>
      </c>
      <c r="V6" s="4" t="s">
        <v>31</v>
      </c>
      <c r="W6" s="4" t="s">
        <v>32</v>
      </c>
      <c r="X6" s="4" t="s">
        <v>33</v>
      </c>
      <c r="Y6" s="11">
        <v>-237.2</v>
      </c>
      <c r="Z6" s="8">
        <v>2</v>
      </c>
      <c r="AA6" s="4" t="s">
        <v>31</v>
      </c>
      <c r="AB6" s="4" t="s">
        <v>32</v>
      </c>
      <c r="AC6" s="4" t="s">
        <v>33</v>
      </c>
      <c r="AD6" s="11">
        <v>-237.2</v>
      </c>
    </row>
    <row r="7" spans="1:30" x14ac:dyDescent="0.25">
      <c r="A7" s="8">
        <v>1</v>
      </c>
      <c r="B7" s="18" t="s">
        <v>45</v>
      </c>
      <c r="C7" s="18" t="s">
        <v>46</v>
      </c>
      <c r="D7" s="18" t="s">
        <v>25</v>
      </c>
      <c r="E7" s="15">
        <v>-586.9</v>
      </c>
      <c r="F7" s="8">
        <v>2</v>
      </c>
      <c r="G7" s="18" t="s">
        <v>45</v>
      </c>
      <c r="H7" s="18" t="s">
        <v>46</v>
      </c>
      <c r="I7" s="18" t="s">
        <v>25</v>
      </c>
      <c r="J7" s="15">
        <v>-586.9</v>
      </c>
      <c r="K7" s="23">
        <v>8</v>
      </c>
      <c r="L7" s="4" t="s">
        <v>24</v>
      </c>
      <c r="M7" s="4" t="s">
        <v>10</v>
      </c>
      <c r="N7" s="4" t="s">
        <v>25</v>
      </c>
      <c r="O7" s="11">
        <v>-78.900000000000006</v>
      </c>
      <c r="P7" s="23"/>
      <c r="Q7" s="18"/>
      <c r="R7" s="18"/>
      <c r="S7" s="18"/>
      <c r="T7" s="15"/>
      <c r="U7" s="8"/>
      <c r="V7" s="18"/>
      <c r="W7" s="18"/>
      <c r="X7" s="18"/>
      <c r="Y7" s="15"/>
      <c r="Z7" s="8"/>
      <c r="AA7" s="18"/>
      <c r="AB7" s="18"/>
      <c r="AC7" s="18"/>
      <c r="AD7" s="15"/>
    </row>
    <row r="8" spans="1:30" x14ac:dyDescent="0.25">
      <c r="A8" s="8">
        <v>8</v>
      </c>
      <c r="B8" s="18" t="s">
        <v>42</v>
      </c>
      <c r="C8" s="18" t="s">
        <v>43</v>
      </c>
      <c r="D8" s="18" t="s">
        <v>44</v>
      </c>
      <c r="E8" s="15">
        <v>-696.6</v>
      </c>
      <c r="F8" s="8">
        <v>8</v>
      </c>
      <c r="G8" s="18" t="s">
        <v>42</v>
      </c>
      <c r="H8" s="18" t="s">
        <v>43</v>
      </c>
      <c r="I8" s="18" t="s">
        <v>44</v>
      </c>
      <c r="J8" s="15">
        <v>-696.6</v>
      </c>
      <c r="K8" s="23">
        <v>8</v>
      </c>
      <c r="L8" s="9" t="s">
        <v>42</v>
      </c>
      <c r="M8" s="9" t="s">
        <v>43</v>
      </c>
      <c r="N8" s="9" t="s">
        <v>44</v>
      </c>
      <c r="O8" s="10">
        <v>-696.6</v>
      </c>
      <c r="P8" s="23"/>
      <c r="Q8" s="9"/>
      <c r="R8" s="9"/>
      <c r="S8" s="9"/>
      <c r="T8" s="10"/>
      <c r="U8" s="8">
        <v>1</v>
      </c>
      <c r="V8" s="18" t="s">
        <v>45</v>
      </c>
      <c r="W8" s="18" t="s">
        <v>46</v>
      </c>
      <c r="X8" s="18" t="s">
        <v>25</v>
      </c>
      <c r="Y8" s="15">
        <v>-586.9</v>
      </c>
      <c r="Z8" s="8">
        <v>1</v>
      </c>
      <c r="AA8" t="s">
        <v>27</v>
      </c>
      <c r="AB8" t="s">
        <v>28</v>
      </c>
      <c r="AC8" t="s">
        <v>25</v>
      </c>
      <c r="AD8">
        <v>-386</v>
      </c>
    </row>
    <row r="9" spans="1:30" x14ac:dyDescent="0.25">
      <c r="A9" s="8">
        <v>15</v>
      </c>
      <c r="B9" s="4" t="s">
        <v>26</v>
      </c>
      <c r="C9" s="4" t="s">
        <v>13</v>
      </c>
      <c r="D9" s="4" t="s">
        <v>25</v>
      </c>
      <c r="E9" s="10">
        <v>0</v>
      </c>
      <c r="F9" s="8">
        <v>14</v>
      </c>
      <c r="G9" s="4" t="s">
        <v>26</v>
      </c>
      <c r="H9" s="4" t="s">
        <v>13</v>
      </c>
      <c r="I9" s="4" t="s">
        <v>25</v>
      </c>
      <c r="J9" s="10">
        <v>0</v>
      </c>
      <c r="K9" s="23">
        <v>4</v>
      </c>
      <c r="L9" s="9" t="s">
        <v>48</v>
      </c>
      <c r="M9" s="9" t="s">
        <v>14</v>
      </c>
      <c r="N9" s="9" t="s">
        <v>25</v>
      </c>
      <c r="O9" s="10">
        <v>17.55</v>
      </c>
      <c r="P9" s="23"/>
      <c r="Q9" s="9"/>
      <c r="R9" s="9"/>
      <c r="S9" s="9"/>
      <c r="T9" s="10"/>
      <c r="U9" s="8">
        <v>4</v>
      </c>
      <c r="V9" s="18" t="s">
        <v>48</v>
      </c>
      <c r="W9" s="18" t="s">
        <v>14</v>
      </c>
      <c r="X9" s="18" t="s">
        <v>25</v>
      </c>
      <c r="Y9" s="15">
        <v>17.55</v>
      </c>
      <c r="Z9" s="8">
        <v>4</v>
      </c>
      <c r="AA9" s="18" t="s">
        <v>48</v>
      </c>
      <c r="AB9" s="18" t="s">
        <v>14</v>
      </c>
      <c r="AC9" s="18" t="s">
        <v>25</v>
      </c>
      <c r="AD9" s="15">
        <v>17.55</v>
      </c>
    </row>
    <row r="10" spans="1:30" x14ac:dyDescent="0.25">
      <c r="A10" s="12">
        <v>1</v>
      </c>
      <c r="B10" s="20" t="s">
        <v>41</v>
      </c>
      <c r="C10" s="20" t="s">
        <v>11</v>
      </c>
      <c r="D10" s="20" t="s">
        <v>25</v>
      </c>
      <c r="E10" s="16">
        <v>-34.4</v>
      </c>
      <c r="F10" s="12">
        <v>1</v>
      </c>
      <c r="G10" s="13" t="s">
        <v>34</v>
      </c>
      <c r="H10" s="13" t="s">
        <v>35</v>
      </c>
      <c r="I10" s="13" t="s">
        <v>25</v>
      </c>
      <c r="J10" s="14">
        <v>-396.6</v>
      </c>
      <c r="K10" s="24">
        <v>16</v>
      </c>
      <c r="L10" s="19" t="s">
        <v>26</v>
      </c>
      <c r="M10" s="19" t="s">
        <v>13</v>
      </c>
      <c r="N10" s="19" t="s">
        <v>25</v>
      </c>
      <c r="O10" s="14">
        <v>0</v>
      </c>
      <c r="P10" s="24">
        <v>1</v>
      </c>
      <c r="Q10" s="13" t="s">
        <v>34</v>
      </c>
      <c r="R10" s="13" t="s">
        <v>35</v>
      </c>
      <c r="S10" s="13" t="s">
        <v>25</v>
      </c>
      <c r="T10" s="14">
        <v>-396.6</v>
      </c>
      <c r="U10" s="12">
        <v>1</v>
      </c>
      <c r="V10" s="19" t="s">
        <v>26</v>
      </c>
      <c r="W10" s="19" t="s">
        <v>13</v>
      </c>
      <c r="X10" s="19" t="s">
        <v>25</v>
      </c>
      <c r="Y10" s="14">
        <v>0</v>
      </c>
      <c r="Z10" s="12"/>
      <c r="AA10" s="19"/>
      <c r="AB10" s="19"/>
      <c r="AC10" s="19"/>
      <c r="AD10" s="14"/>
    </row>
    <row r="11" spans="1:30" x14ac:dyDescent="0.25">
      <c r="A11" s="33" t="s">
        <v>22</v>
      </c>
      <c r="B11" s="34">
        <f>((E5*A5)+(A6*E6)+(A7*E7))-((A8*E8)+(A9*E9)+(A10*E10))</f>
        <v>-592.09999999999945</v>
      </c>
      <c r="C11" s="33" t="s">
        <v>23</v>
      </c>
      <c r="D11" s="35"/>
      <c r="E11" s="35"/>
      <c r="F11" s="33" t="s">
        <v>22</v>
      </c>
      <c r="G11" s="34">
        <f>((J5*F5)+(F6*J6)+(F7*J7))-((F8*J8)+(F9*J9)+(F10*J10))</f>
        <v>-579.59999999999945</v>
      </c>
      <c r="H11" s="33" t="s">
        <v>23</v>
      </c>
      <c r="I11" s="35"/>
      <c r="J11" s="35"/>
      <c r="K11" s="33" t="s">
        <v>22</v>
      </c>
      <c r="L11" s="34">
        <f>((K6*O6)+(K7*O7))-((K8*O8)+(K9*O9)+(K10*O10))</f>
        <v>-821.39999999999873</v>
      </c>
      <c r="M11" s="33" t="s">
        <v>60</v>
      </c>
      <c r="N11" s="35"/>
      <c r="O11" s="35"/>
      <c r="P11" s="33" t="s">
        <v>22</v>
      </c>
      <c r="Q11" s="34">
        <f>((P5*T5)+(P6*T6))-(P10*T10)</f>
        <v>-23.799999999999955</v>
      </c>
      <c r="R11" s="33" t="s">
        <v>23</v>
      </c>
      <c r="S11" s="35"/>
      <c r="T11" s="35"/>
      <c r="U11" s="33" t="s">
        <v>22</v>
      </c>
      <c r="V11" s="34">
        <f>((Y5*U5)+(U6*Y6))-((U8*Y8)+(U9*Y9)+(U10*Y10))</f>
        <v>-229.29999999999995</v>
      </c>
      <c r="W11" s="33" t="s">
        <v>60</v>
      </c>
      <c r="X11" s="35"/>
      <c r="Y11" s="35"/>
      <c r="Z11" s="33" t="s">
        <v>22</v>
      </c>
      <c r="AA11" s="34">
        <f>((AD5*Z5)+(Z6*AD6))-((Z8*AD8)+(Z9*AD9)+(Z10*AD10))</f>
        <v>-192.99999999999994</v>
      </c>
      <c r="AB11" s="33" t="s">
        <v>60</v>
      </c>
      <c r="AC11" s="35"/>
      <c r="AD11" s="35"/>
    </row>
    <row r="12" spans="1:30" x14ac:dyDescent="0.25"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30" x14ac:dyDescent="0.25">
      <c r="A13" s="17" t="s">
        <v>8</v>
      </c>
      <c r="F13" s="17" t="s">
        <v>36</v>
      </c>
      <c r="K13" s="17" t="s">
        <v>16</v>
      </c>
      <c r="P13" s="17" t="s">
        <v>56</v>
      </c>
      <c r="U13" s="17" t="s">
        <v>50</v>
      </c>
    </row>
    <row r="14" spans="1:30" x14ac:dyDescent="0.25">
      <c r="A14" t="s">
        <v>6</v>
      </c>
      <c r="B14" s="3">
        <f>B11</f>
        <v>-592.09999999999945</v>
      </c>
      <c r="C14" t="s">
        <v>23</v>
      </c>
      <c r="F14" s="3">
        <f>G11</f>
        <v>-579.59999999999945</v>
      </c>
      <c r="K14" s="3">
        <f>L11</f>
        <v>-821.39999999999873</v>
      </c>
      <c r="P14" s="3">
        <f>Q11</f>
        <v>-23.799999999999955</v>
      </c>
      <c r="U14" s="3">
        <f>V11</f>
        <v>-229.29999999999995</v>
      </c>
    </row>
    <row r="15" spans="1:30" x14ac:dyDescent="0.25">
      <c r="A15" t="s">
        <v>1</v>
      </c>
      <c r="B15">
        <v>293</v>
      </c>
      <c r="C15" t="s">
        <v>57</v>
      </c>
      <c r="F15">
        <v>293</v>
      </c>
      <c r="K15">
        <v>293</v>
      </c>
      <c r="P15">
        <v>293</v>
      </c>
      <c r="U15">
        <v>293</v>
      </c>
    </row>
    <row r="16" spans="1:30" x14ac:dyDescent="0.25">
      <c r="A16" t="s">
        <v>0</v>
      </c>
      <c r="B16">
        <f>8.31446*10^-3</f>
        <v>8.3144600000000009E-3</v>
      </c>
      <c r="C16" t="s">
        <v>2</v>
      </c>
      <c r="F16">
        <f>8.31446*10^-3</f>
        <v>8.3144600000000009E-3</v>
      </c>
      <c r="K16">
        <f>8.31446*10^-3</f>
        <v>8.3144600000000009E-3</v>
      </c>
      <c r="P16">
        <f>8.31446*10^-3</f>
        <v>8.3144600000000009E-3</v>
      </c>
      <c r="U16">
        <f>8.31446*10^-3</f>
        <v>8.3144600000000009E-3</v>
      </c>
    </row>
    <row r="17" spans="1:25" x14ac:dyDescent="0.25">
      <c r="A17" t="s">
        <v>3</v>
      </c>
      <c r="B17" s="1">
        <f>((J27^8)*(J26^1))/((J29^8)*(J28^1)*(J30^15))</f>
        <v>7.812500000000005E+79</v>
      </c>
      <c r="F17" s="1">
        <f>((J27^8)*(J26^2))/((J29^8)*(J30^14)*(J32^1))</f>
        <v>3.9062500000000029E+72</v>
      </c>
      <c r="H17" s="1"/>
      <c r="K17" s="1">
        <f>(J27^8)/((J29^8)*(J30^16)*(J31^4))</f>
        <v>3.9062500000000022E+105</v>
      </c>
      <c r="P17" s="1">
        <f>(J26*J28)/J32</f>
        <v>0.5</v>
      </c>
      <c r="U17" s="1">
        <f>J28/(J26*(J30^4)*J31)</f>
        <v>5.0000000000000012E+31</v>
      </c>
    </row>
    <row r="18" spans="1:25" x14ac:dyDescent="0.25">
      <c r="A18" t="s">
        <v>4</v>
      </c>
      <c r="B18">
        <f>LN(B17)</f>
        <v>183.95994736159213</v>
      </c>
      <c r="F18">
        <f>LN(F17)</f>
        <v>167.14870453007387</v>
      </c>
      <c r="K18">
        <f>LN(K17)</f>
        <v>243.13401259887738</v>
      </c>
      <c r="P18">
        <f>LN(P17)</f>
        <v>-0.69314718055994529</v>
      </c>
      <c r="U18">
        <f>LN(U17)</f>
        <v>72.989575795249522</v>
      </c>
    </row>
    <row r="19" spans="1:25" x14ac:dyDescent="0.25">
      <c r="A19" t="s">
        <v>5</v>
      </c>
      <c r="B19">
        <f>B18*B15*B16</f>
        <v>448.15159381443863</v>
      </c>
      <c r="C19" t="s">
        <v>23</v>
      </c>
      <c r="F19">
        <f>F15*F16*F18</f>
        <v>407.19710683506565</v>
      </c>
      <c r="K19">
        <f>K15*K16*K18</f>
        <v>592.30771056110871</v>
      </c>
      <c r="P19">
        <f>P15*P16*P18</f>
        <v>-1.6886013405153839</v>
      </c>
      <c r="U19">
        <f>B15*B16*U18</f>
        <v>177.81259015140515</v>
      </c>
    </row>
    <row r="20" spans="1:25" x14ac:dyDescent="0.25">
      <c r="A20" s="36" t="s">
        <v>7</v>
      </c>
      <c r="B20" s="37">
        <f>B14+B19</f>
        <v>-143.94840618556083</v>
      </c>
      <c r="C20" s="36" t="s">
        <v>23</v>
      </c>
      <c r="D20" s="38"/>
      <c r="E20" s="38"/>
      <c r="F20" s="37">
        <f>F14+F19</f>
        <v>-172.4028931649338</v>
      </c>
      <c r="G20" s="36" t="s">
        <v>23</v>
      </c>
      <c r="H20" s="38"/>
      <c r="I20" s="38"/>
      <c r="J20" s="38"/>
      <c r="K20" s="37">
        <f>K14+K19</f>
        <v>-229.09228943889002</v>
      </c>
      <c r="L20" s="36" t="s">
        <v>60</v>
      </c>
      <c r="M20" s="38"/>
      <c r="N20" s="38"/>
      <c r="O20" s="38"/>
      <c r="P20" s="37">
        <f>P14+P19</f>
        <v>-25.488601340515338</v>
      </c>
      <c r="Q20" s="36" t="s">
        <v>23</v>
      </c>
      <c r="R20" s="38"/>
      <c r="S20" s="38"/>
      <c r="T20" s="38"/>
      <c r="U20" s="37">
        <f>U14+U19</f>
        <v>-51.487409848594808</v>
      </c>
      <c r="V20" s="36" t="s">
        <v>60</v>
      </c>
      <c r="W20" s="38"/>
      <c r="X20" s="38"/>
      <c r="Y20" s="38"/>
    </row>
    <row r="24" spans="1:25" x14ac:dyDescent="0.25">
      <c r="B24" s="38" t="s">
        <v>62</v>
      </c>
      <c r="C24" s="38"/>
      <c r="D24" s="40">
        <f>U20+B20</f>
        <v>-195.43581603415564</v>
      </c>
      <c r="G24" s="25" t="s">
        <v>55</v>
      </c>
      <c r="H24" s="5"/>
      <c r="I24" s="6"/>
      <c r="J24" s="7"/>
      <c r="N24" s="17" t="s">
        <v>54</v>
      </c>
    </row>
    <row r="25" spans="1:25" x14ac:dyDescent="0.25">
      <c r="B25" s="38"/>
      <c r="C25" s="38"/>
      <c r="D25" s="38"/>
      <c r="G25" s="8"/>
      <c r="H25" s="18"/>
      <c r="I25" s="18" t="s">
        <v>9</v>
      </c>
      <c r="J25" s="15" t="s">
        <v>17</v>
      </c>
      <c r="N25" t="s">
        <v>48</v>
      </c>
      <c r="O25" t="s">
        <v>14</v>
      </c>
      <c r="P25" t="s">
        <v>25</v>
      </c>
      <c r="Q25">
        <v>17.55</v>
      </c>
    </row>
    <row r="26" spans="1:25" x14ac:dyDescent="0.25">
      <c r="B26" s="38" t="s">
        <v>64</v>
      </c>
      <c r="C26" s="38"/>
      <c r="D26" s="40">
        <f>K20</f>
        <v>-229.09228943889002</v>
      </c>
      <c r="G26" s="8" t="s">
        <v>38</v>
      </c>
      <c r="H26" s="18" t="s">
        <v>46</v>
      </c>
      <c r="I26" s="18">
        <v>10</v>
      </c>
      <c r="J26" s="15">
        <f>I26/1000</f>
        <v>0.01</v>
      </c>
      <c r="N26" t="s">
        <v>42</v>
      </c>
      <c r="O26" t="s">
        <v>43</v>
      </c>
      <c r="P26" t="s">
        <v>44</v>
      </c>
      <c r="Q26">
        <v>-696.6</v>
      </c>
    </row>
    <row r="27" spans="1:25" x14ac:dyDescent="0.25">
      <c r="B27" s="38"/>
      <c r="C27" s="38"/>
      <c r="D27" s="38"/>
      <c r="G27" s="8" t="s">
        <v>39</v>
      </c>
      <c r="H27" s="18" t="s">
        <v>10</v>
      </c>
      <c r="I27" s="18">
        <v>0.1</v>
      </c>
      <c r="J27" s="15">
        <f>I27/1000</f>
        <v>1E-4</v>
      </c>
      <c r="N27" t="s">
        <v>24</v>
      </c>
      <c r="O27" t="s">
        <v>10</v>
      </c>
      <c r="P27" t="s">
        <v>25</v>
      </c>
      <c r="Q27">
        <v>-78.900000000000006</v>
      </c>
    </row>
    <row r="28" spans="1:25" x14ac:dyDescent="0.25">
      <c r="B28" s="38"/>
      <c r="C28" s="38"/>
      <c r="D28" s="38"/>
      <c r="G28" s="8"/>
      <c r="H28" s="18" t="s">
        <v>11</v>
      </c>
      <c r="I28" s="18">
        <v>0.5</v>
      </c>
      <c r="J28" s="15">
        <f>I28/1000</f>
        <v>5.0000000000000001E-4</v>
      </c>
      <c r="N28" t="s">
        <v>26</v>
      </c>
      <c r="O28" t="s">
        <v>13</v>
      </c>
      <c r="P28" t="s">
        <v>25</v>
      </c>
      <c r="Q28">
        <v>0</v>
      </c>
    </row>
    <row r="29" spans="1:25" x14ac:dyDescent="0.25">
      <c r="B29" s="38"/>
      <c r="C29" s="38"/>
      <c r="D29" s="38"/>
      <c r="G29" s="8"/>
      <c r="H29" s="18" t="s">
        <v>12</v>
      </c>
      <c r="I29" s="29">
        <v>200</v>
      </c>
      <c r="J29" s="30">
        <v>0.2</v>
      </c>
      <c r="N29" t="s">
        <v>27</v>
      </c>
      <c r="O29" t="s">
        <v>28</v>
      </c>
      <c r="P29" t="s">
        <v>25</v>
      </c>
      <c r="Q29">
        <v>-386</v>
      </c>
    </row>
    <row r="30" spans="1:25" x14ac:dyDescent="0.25">
      <c r="B30" s="38" t="s">
        <v>63</v>
      </c>
      <c r="C30" s="38"/>
      <c r="D30" s="40">
        <f>P20+B20</f>
        <v>-169.43700752607617</v>
      </c>
      <c r="G30" s="8" t="s">
        <v>52</v>
      </c>
      <c r="H30" s="18" t="s">
        <v>13</v>
      </c>
      <c r="I30" s="26">
        <v>1E-4</v>
      </c>
      <c r="J30" s="31">
        <v>9.9999999999999995E-8</v>
      </c>
      <c r="N30" t="s">
        <v>29</v>
      </c>
      <c r="O30" t="s">
        <v>30</v>
      </c>
      <c r="P30" t="s">
        <v>25</v>
      </c>
      <c r="Q30">
        <v>-4.5999999999999996</v>
      </c>
    </row>
    <row r="31" spans="1:25" x14ac:dyDescent="0.25">
      <c r="B31" s="38"/>
      <c r="C31" s="38"/>
      <c r="D31" s="38"/>
      <c r="G31" s="8"/>
      <c r="H31" s="18" t="s">
        <v>14</v>
      </c>
      <c r="I31" s="18">
        <v>0.01</v>
      </c>
      <c r="J31" s="15">
        <f>I31/1000</f>
        <v>1.0000000000000001E-5</v>
      </c>
      <c r="N31" t="s">
        <v>31</v>
      </c>
      <c r="O31" t="s">
        <v>32</v>
      </c>
      <c r="P31" t="s">
        <v>33</v>
      </c>
      <c r="Q31">
        <v>-237.2</v>
      </c>
    </row>
    <row r="32" spans="1:25" x14ac:dyDescent="0.25">
      <c r="B32" s="38" t="s">
        <v>65</v>
      </c>
      <c r="C32" s="38"/>
      <c r="D32" s="40">
        <f>F20</f>
        <v>-172.4028931649338</v>
      </c>
      <c r="G32" s="8" t="s">
        <v>39</v>
      </c>
      <c r="H32" s="18" t="s">
        <v>15</v>
      </c>
      <c r="I32" s="18">
        <v>0.01</v>
      </c>
      <c r="J32" s="15">
        <f>I32/1000</f>
        <v>1.0000000000000001E-5</v>
      </c>
      <c r="N32" t="s">
        <v>41</v>
      </c>
      <c r="O32" t="s">
        <v>11</v>
      </c>
      <c r="P32" t="s">
        <v>25</v>
      </c>
      <c r="Q32">
        <v>-34.4</v>
      </c>
    </row>
    <row r="33" spans="3:19" x14ac:dyDescent="0.25">
      <c r="C33" s="1"/>
      <c r="G33" s="12"/>
      <c r="H33" s="20" t="s">
        <v>53</v>
      </c>
      <c r="I33" s="20">
        <v>1</v>
      </c>
      <c r="J33" s="16">
        <v>1</v>
      </c>
      <c r="N33" t="s">
        <v>45</v>
      </c>
      <c r="O33" t="s">
        <v>46</v>
      </c>
      <c r="P33" t="s">
        <v>25</v>
      </c>
      <c r="Q33">
        <v>-586.9</v>
      </c>
      <c r="S33" s="1"/>
    </row>
    <row r="34" spans="3:19" x14ac:dyDescent="0.25">
      <c r="C34" s="1"/>
      <c r="S34" s="1"/>
    </row>
    <row r="51" spans="9:9" ht="18" x14ac:dyDescent="0.35">
      <c r="I51" s="3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lotem</dc:creator>
  <cp:lastModifiedBy>OWNER</cp:lastModifiedBy>
  <dcterms:created xsi:type="dcterms:W3CDTF">2020-11-24T08:26:16Z</dcterms:created>
  <dcterms:modified xsi:type="dcterms:W3CDTF">2020-11-26T09:38:12Z</dcterms:modified>
</cp:coreProperties>
</file>